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30" yWindow="750" windowWidth="9885" windowHeight="8640" tabRatio="795" firstSheet="1" activeTab="1"/>
  </bookViews>
  <sheets>
    <sheet name="Calcs" sheetId="1" state="hidden" r:id="rId1"/>
    <sheet name="Input" sheetId="2" r:id="rId2"/>
    <sheet name="Sheet1" sheetId="3" state="hidden" r:id="rId3"/>
  </sheets>
  <definedNames>
    <definedName name="anscount" hidden="1">1</definedName>
    <definedName name="Apparent_Alt">#REF!</definedName>
    <definedName name="D">#REF!</definedName>
    <definedName name="Dip">#REF!</definedName>
    <definedName name="Earth">#REF!</definedName>
    <definedName name="EL">#REF!</definedName>
    <definedName name="f">#REF!</definedName>
    <definedName name="GHA">#REF!</definedName>
    <definedName name="H__GMT">#REF!</definedName>
    <definedName name="Ha">#REF!</definedName>
    <definedName name="Hc">#REF!</definedName>
    <definedName name="Hc_rads">#REF!</definedName>
    <definedName name="Hs">#REF!</definedName>
    <definedName name="IE">#REF!</definedName>
    <definedName name="Jupiter">#REF!</definedName>
    <definedName name="LA">#REF!</definedName>
    <definedName name="LHA">#REF!</definedName>
    <definedName name="LO">#REF!</definedName>
    <definedName name="Luna">#REF!</definedName>
    <definedName name="M">#REF!</definedName>
    <definedName name="Mars">#REF!</definedName>
    <definedName name="mins">#REF!</definedName>
    <definedName name="Observed_Alt">#REF!</definedName>
    <definedName name="Parallax_Alt_PA">#REF!</definedName>
    <definedName name="PC_Time">#REF!</definedName>
    <definedName name="Pluto">#REF!</definedName>
    <definedName name="Refraction">#REF!</definedName>
    <definedName name="Ro">#REF!</definedName>
    <definedName name="SD">#REF!</definedName>
    <definedName name="secs">#REF!</definedName>
    <definedName name="Sext_Deg">#REF!</definedName>
    <definedName name="T">#REF!</definedName>
    <definedName name="TH">#REF!</definedName>
    <definedName name="U">#REF!</definedName>
    <definedName name="Venus">#REF!</definedName>
    <definedName name="Y">#REF!</definedName>
    <definedName name="Zn">#REF!</definedName>
    <definedName name="Zn__corrected">#REF!</definedName>
    <definedName name="Zn_rads">#REF!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Andrew Smith</author>
  </authors>
  <commentList>
    <comment ref="B7" authorId="0">
      <text>
        <r>
          <rPr>
            <sz val="9"/>
            <rFont val="Tahoma"/>
            <family val="0"/>
          </rPr>
          <t xml:space="preserve">
You should enter an integer here corresponding to your nearest whole degree of Latitude. 
Spreadsheet will accept decimal values though.</t>
        </r>
      </text>
    </comment>
    <comment ref="B8" authorId="0">
      <text>
        <r>
          <rPr>
            <sz val="9"/>
            <rFont val="Tahoma"/>
            <family val="0"/>
          </rPr>
          <t xml:space="preserve">
You should enter an integer here corresponding to your nearest whole degree of Longitude. 
Spreadsheet will accept decimal values though.</t>
        </r>
      </text>
    </comment>
  </commentList>
</comments>
</file>

<file path=xl/sharedStrings.xml><?xml version="1.0" encoding="utf-8"?>
<sst xmlns="http://schemas.openxmlformats.org/spreadsheetml/2006/main" count="93" uniqueCount="93">
  <si>
    <t>S</t>
  </si>
  <si>
    <t>EL</t>
  </si>
  <si>
    <t>TIME</t>
  </si>
  <si>
    <t>AL</t>
  </si>
  <si>
    <t>Declination =</t>
  </si>
  <si>
    <t>GHA =</t>
  </si>
  <si>
    <t>EQTRL</t>
  </si>
  <si>
    <t>LA</t>
  </si>
  <si>
    <t>LO</t>
  </si>
  <si>
    <t>Zn°</t>
  </si>
  <si>
    <t>Hc°</t>
  </si>
  <si>
    <t>HRZTL</t>
  </si>
  <si>
    <t>COS(RAD(EL))</t>
  </si>
  <si>
    <t>TH (post ecliptic)</t>
  </si>
  <si>
    <t xml:space="preserve">GHA Aries </t>
  </si>
  <si>
    <t>GHA</t>
  </si>
  <si>
    <t>Zn rads</t>
  </si>
  <si>
    <t>Declination°</t>
  </si>
  <si>
    <t>Hc rads</t>
  </si>
  <si>
    <t>SEXTANT</t>
  </si>
  <si>
    <t>Zn° corrected</t>
  </si>
  <si>
    <t>IF COS(AL)&lt;0 AL=</t>
  </si>
  <si>
    <t>LHA</t>
  </si>
  <si>
    <t>LHA  -360's</t>
  </si>
  <si>
    <t>Intercept</t>
  </si>
  <si>
    <t>LHA =</t>
  </si>
  <si>
    <t>Hc =</t>
  </si>
  <si>
    <t>Towards / Away</t>
  </si>
  <si>
    <t>Declination radians</t>
  </si>
  <si>
    <t>CONSTANTS</t>
  </si>
  <si>
    <t>ECLIPTIC</t>
  </si>
  <si>
    <t>Sun's mean anomaly. E</t>
  </si>
  <si>
    <t>2xSun's mean Long. L</t>
  </si>
  <si>
    <t>Obliquity of the Ecliptic. P</t>
  </si>
  <si>
    <t>Venu's mean anomaly. V</t>
  </si>
  <si>
    <t>Mar's mean anomaly. M</t>
  </si>
  <si>
    <t>Jupiter' mean anomaly. J</t>
  </si>
  <si>
    <t>Longitude Of Moon's ascending node. Th</t>
  </si>
  <si>
    <t>Ephemeris Time T</t>
  </si>
  <si>
    <t>Universal Time U</t>
  </si>
  <si>
    <r>
      <t>Observed Alt</t>
    </r>
    <r>
      <rPr>
        <b/>
        <sz val="10"/>
        <rFont val="Arial"/>
        <family val="2"/>
      </rPr>
      <t xml:space="preserve"> Hs</t>
    </r>
    <r>
      <rPr>
        <sz val="10"/>
        <rFont val="Arial"/>
        <family val="0"/>
      </rPr>
      <t xml:space="preserve"> </t>
    </r>
  </si>
  <si>
    <r>
      <t xml:space="preserve">Index Error </t>
    </r>
    <r>
      <rPr>
        <b/>
        <sz val="10"/>
        <rFont val="Arial"/>
        <family val="2"/>
      </rPr>
      <t>IE</t>
    </r>
  </si>
  <si>
    <r>
      <t xml:space="preserve">Dip </t>
    </r>
    <r>
      <rPr>
        <b/>
        <sz val="10"/>
        <rFont val="Arial"/>
        <family val="2"/>
      </rPr>
      <t>D</t>
    </r>
  </si>
  <si>
    <r>
      <t xml:space="preserve">Apparent Altitude </t>
    </r>
    <r>
      <rPr>
        <b/>
        <sz val="10"/>
        <rFont val="Arial"/>
        <family val="2"/>
      </rPr>
      <t>Ha</t>
    </r>
  </si>
  <si>
    <r>
      <t xml:space="preserve">Semi-Dia' </t>
    </r>
    <r>
      <rPr>
        <b/>
        <sz val="10"/>
        <rFont val="Arial"/>
        <family val="2"/>
      </rPr>
      <t>SD</t>
    </r>
  </si>
  <si>
    <t>Altitude Difference (P)</t>
  </si>
  <si>
    <t>Minutes</t>
  </si>
  <si>
    <t>Seconds</t>
  </si>
  <si>
    <t>DegC</t>
  </si>
  <si>
    <t>mBar</t>
  </si>
  <si>
    <t>GMT / UCT</t>
  </si>
  <si>
    <t>Hour</t>
  </si>
  <si>
    <t>Temperature</t>
  </si>
  <si>
    <t>Barometric Pressure</t>
  </si>
  <si>
    <t>True</t>
  </si>
  <si>
    <t>Azimuth</t>
  </si>
  <si>
    <t xml:space="preserve">LHA   </t>
  </si>
  <si>
    <t xml:space="preserve">GHA  </t>
  </si>
  <si>
    <t xml:space="preserve">Declination  </t>
  </si>
  <si>
    <t>Degrees</t>
  </si>
  <si>
    <t>Limb observed</t>
  </si>
  <si>
    <t>www.backbearing.com</t>
  </si>
  <si>
    <t>Assumed Latitude°</t>
  </si>
  <si>
    <t>Assumed Longitude°</t>
  </si>
  <si>
    <t>Sextant Altitude°</t>
  </si>
  <si>
    <t>Sextant minutes'</t>
  </si>
  <si>
    <t>Index error mm.ddd</t>
  </si>
  <si>
    <t>Assumed Longitude'</t>
  </si>
  <si>
    <t>mm.ddd</t>
  </si>
  <si>
    <t>Ho =</t>
  </si>
  <si>
    <t xml:space="preserve">Observed Altitude° Ho  </t>
  </si>
  <si>
    <t xml:space="preserve"> </t>
  </si>
  <si>
    <t>FirstPoint1</t>
  </si>
  <si>
    <t>FirstPoint2</t>
  </si>
  <si>
    <t>L (post ecliptic)</t>
  </si>
  <si>
    <t>DD/MM/YY</t>
  </si>
  <si>
    <t>1 Lower  −1 Upper  0 Centre</t>
  </si>
  <si>
    <t>Enter 0 for Artificial Horizon</t>
  </si>
  <si>
    <t>P/T comp. factor</t>
  </si>
  <si>
    <t>Refraction at 10/1010</t>
  </si>
  <si>
    <t>Total Refraction</t>
  </si>
  <si>
    <t>Sun's Parallax</t>
  </si>
  <si>
    <r>
      <t xml:space="preserve">True Observed Altitude </t>
    </r>
    <r>
      <rPr>
        <b/>
        <sz val="10"/>
        <rFont val="Arial"/>
        <family val="2"/>
      </rPr>
      <t>Ho</t>
    </r>
  </si>
  <si>
    <t xml:space="preserve">Calculated Altitude° Hc  </t>
  </si>
  <si>
    <t>Degrees E or W</t>
  </si>
  <si>
    <t>Degrees N or S</t>
  </si>
  <si>
    <t>LO'</t>
  </si>
  <si>
    <t>mm.dd</t>
  </si>
  <si>
    <r>
      <t>−</t>
    </r>
    <r>
      <rPr>
        <sz val="11"/>
        <rFont val="Arial"/>
        <family val="2"/>
      </rPr>
      <t>ON the arc  +OFF the arc</t>
    </r>
  </si>
  <si>
    <r>
      <t>Height of eye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(m)</t>
    </r>
  </si>
  <si>
    <t>Difference, Miles</t>
  </si>
  <si>
    <t>57.8N</t>
  </si>
  <si>
    <t>4.5W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</si>
</sst>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"/>
    <numFmt numFmtId="174" formatCode="0.0000000000"/>
    <numFmt numFmtId="175" formatCode="m/d/yy\ h:mm"/>
    <numFmt numFmtId="176" formatCode="m/d/yyyy\ hh:mm:ss"/>
    <numFmt numFmtId="177" formatCode="0.000"/>
    <numFmt numFmtId="178" formatCode="0.0"/>
    <numFmt numFmtId="179" formatCode="m/d/yy"/>
    <numFmt numFmtId="180" formatCode="mm/dd/yy"/>
    <numFmt numFmtId="181" formatCode="0.0000"/>
    <numFmt numFmtId="182" formatCode="m/d"/>
    <numFmt numFmtId="183" formatCode="d/m"/>
    <numFmt numFmtId="184" formatCode="d/m/yy\ h:mm"/>
    <numFmt numFmtId="185" formatCode="yyyy"/>
    <numFmt numFmtId="186" formatCode="d/m/yy\ hh:mm:ss"/>
    <numFmt numFmtId="187" formatCode="yy"/>
    <numFmt numFmtId="188" formatCode="0.00000000"/>
    <numFmt numFmtId="189" formatCode="d/m/yy"/>
    <numFmt numFmtId="190" formatCode="hh"/>
    <numFmt numFmtId="191" formatCode="m/d/yy\ h:mm:ss"/>
    <numFmt numFmtId="192" formatCode="dd/mm/yy\ hh:mm:ss"/>
    <numFmt numFmtId="193" formatCode="mm"/>
    <numFmt numFmtId="194" formatCode="0.000000"/>
    <numFmt numFmtId="195" formatCode="dd/mmm/yy"/>
    <numFmt numFmtId="196" formatCode="mmm\ d\,\ yyyy"/>
    <numFmt numFmtId="197" formatCode="#,##0.0"/>
    <numFmt numFmtId="198" formatCode="#,##0.000"/>
    <numFmt numFmtId="199" formatCode="0.00000"/>
    <numFmt numFmtId="200" formatCode="#,##0.0000"/>
    <numFmt numFmtId="201" formatCode="0.000000000000"/>
    <numFmt numFmtId="202" formatCode="d/m/yyyy\ hh:mm:ss"/>
    <numFmt numFmtId="203" formatCode="0.000000000"/>
    <numFmt numFmtId="204" formatCode="0.0000000000000"/>
    <numFmt numFmtId="205" formatCode="0.0000000000000000"/>
    <numFmt numFmtId="206" formatCode="0.00000000000000"/>
    <numFmt numFmtId="207" formatCode="0.0_ ;[Red]\-0.0\ "/>
    <numFmt numFmtId="208" formatCode="00"/>
    <numFmt numFmtId="209" formatCode="[$-809]dd\ mmmm\ yyyy"/>
    <numFmt numFmtId="210" formatCode="[$-F800]dddd\,\ mmmm\ dd\,\ yyyy"/>
    <numFmt numFmtId="211" formatCode="hh:mm:ss;@"/>
    <numFmt numFmtId="212" formatCode="[$-C09]dddd\,\ d\ mmmm\ yyyy"/>
    <numFmt numFmtId="213" formatCode="dd/mm/yy;@"/>
    <numFmt numFmtId="214" formatCode="ddd"/>
    <numFmt numFmtId="215" formatCode="dddd"/>
    <numFmt numFmtId="216" formatCode="d/mm/yyyy;@"/>
    <numFmt numFmtId="217" formatCode="[$-C09]d\ mmmm\ yyyy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sz val="9"/>
      <name val="Tahoma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57"/>
      <name val="Cambria"/>
      <family val="2"/>
    </font>
    <font>
      <b/>
      <sz val="12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indexed="50"/>
      </left>
      <right style="medium">
        <color indexed="50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indexed="50"/>
      </left>
      <right style="medium">
        <color indexed="50"/>
      </right>
      <top>
        <color indexed="63"/>
      </top>
      <bottom style="medium">
        <color indexed="50"/>
      </bottom>
    </border>
    <border>
      <left style="medium">
        <color theme="1"/>
      </left>
      <right>
        <color indexed="63"/>
      </right>
      <top style="thin"/>
      <bottom style="thin"/>
    </border>
    <border>
      <left>
        <color indexed="63"/>
      </left>
      <right style="medium">
        <color theme="1"/>
      </right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50"/>
      </left>
      <right style="medium">
        <color indexed="50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medium">
        <color indexed="50"/>
      </left>
      <right style="medium">
        <color indexed="50"/>
      </right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theme="1"/>
      </top>
      <bottom style="medium">
        <color indexed="5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88" fontId="0" fillId="0" borderId="11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3" fontId="3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188" fontId="0" fillId="0" borderId="11" xfId="0" applyNumberForma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0" fontId="29" fillId="0" borderId="10" xfId="0" applyFont="1" applyBorder="1" applyAlignment="1" applyProtection="1">
      <alignment vertical="center"/>
      <protection/>
    </xf>
    <xf numFmtId="0" fontId="29" fillId="0" borderId="12" xfId="0" applyFont="1" applyBorder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6" fillId="0" borderId="17" xfId="0" applyFont="1" applyBorder="1" applyAlignment="1" applyProtection="1">
      <alignment horizontal="right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left" vertical="center"/>
      <protection/>
    </xf>
    <xf numFmtId="0" fontId="46" fillId="0" borderId="20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 quotePrefix="1">
      <alignment horizontal="lef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188" fontId="0" fillId="0" borderId="13" xfId="0" applyNumberFormat="1" applyBorder="1" applyAlignment="1" applyProtection="1">
      <alignment vertical="center"/>
      <protection/>
    </xf>
    <xf numFmtId="188" fontId="0" fillId="0" borderId="27" xfId="0" applyNumberFormat="1" applyBorder="1" applyAlignment="1" applyProtection="1">
      <alignment vertical="center"/>
      <protection/>
    </xf>
    <xf numFmtId="188" fontId="8" fillId="0" borderId="11" xfId="0" applyNumberFormat="1" applyFont="1" applyBorder="1" applyAlignment="1" applyProtection="1">
      <alignment vertical="center"/>
      <protection/>
    </xf>
    <xf numFmtId="188" fontId="29" fillId="0" borderId="11" xfId="0" applyNumberFormat="1" applyFont="1" applyBorder="1" applyAlignment="1" applyProtection="1">
      <alignment vertical="center"/>
      <protection/>
    </xf>
    <xf numFmtId="188" fontId="29" fillId="0" borderId="13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188" fontId="0" fillId="0" borderId="0" xfId="0" applyNumberFormat="1" applyAlignment="1" applyProtection="1">
      <alignment vertical="center"/>
      <protection/>
    </xf>
    <xf numFmtId="194" fontId="0" fillId="0" borderId="11" xfId="0" applyNumberFormat="1" applyBorder="1" applyAlignment="1" applyProtection="1">
      <alignment horizontal="center" vertical="center"/>
      <protection/>
    </xf>
    <xf numFmtId="210" fontId="13" fillId="0" borderId="28" xfId="0" applyNumberFormat="1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9" xfId="0" applyNumberFormat="1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34" borderId="34" xfId="0" applyFont="1" applyFill="1" applyBorder="1" applyAlignment="1" applyProtection="1">
      <alignment horizontal="center" vertical="center"/>
      <protection locked="0"/>
    </xf>
    <xf numFmtId="0" fontId="13" fillId="34" borderId="30" xfId="0" applyFont="1" applyFill="1" applyBorder="1" applyAlignment="1" applyProtection="1">
      <alignment horizontal="center" vertical="center"/>
      <protection locked="0"/>
    </xf>
    <xf numFmtId="0" fontId="13" fillId="35" borderId="35" xfId="0" applyFont="1" applyFill="1" applyBorder="1" applyAlignment="1" applyProtection="1">
      <alignment horizontal="center" vertical="center"/>
      <protection/>
    </xf>
    <xf numFmtId="0" fontId="13" fillId="35" borderId="36" xfId="0" applyFont="1" applyFill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center" vertical="center"/>
      <protection/>
    </xf>
    <xf numFmtId="2" fontId="13" fillId="33" borderId="38" xfId="0" applyNumberFormat="1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center" vertical="center"/>
      <protection/>
    </xf>
    <xf numFmtId="1" fontId="13" fillId="0" borderId="34" xfId="0" applyNumberFormat="1" applyFont="1" applyBorder="1" applyAlignment="1" applyProtection="1">
      <alignment horizontal="center" vertical="center"/>
      <protection locked="0"/>
    </xf>
    <xf numFmtId="2" fontId="13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 quotePrefix="1">
      <alignment horizontal="center" vertical="center"/>
      <protection/>
    </xf>
    <xf numFmtId="1" fontId="13" fillId="0" borderId="29" xfId="0" applyNumberFormat="1" applyFont="1" applyBorder="1" applyAlignment="1" applyProtection="1">
      <alignment horizontal="center" vertical="center"/>
      <protection locked="0"/>
    </xf>
    <xf numFmtId="2" fontId="13" fillId="33" borderId="32" xfId="0" applyNumberFormat="1" applyFont="1" applyFill="1" applyBorder="1" applyAlignment="1" applyProtection="1">
      <alignment horizontal="center" vertical="center"/>
      <protection/>
    </xf>
    <xf numFmtId="16" fontId="13" fillId="33" borderId="3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2" fontId="13" fillId="35" borderId="40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173" fontId="0" fillId="0" borderId="15" xfId="0" applyNumberFormat="1" applyFont="1" applyBorder="1" applyAlignment="1" applyProtection="1">
      <alignment horizontal="center" vertical="center"/>
      <protection/>
    </xf>
    <xf numFmtId="215" fontId="13" fillId="0" borderId="41" xfId="0" applyNumberFormat="1" applyFont="1" applyBorder="1" applyAlignment="1" applyProtection="1">
      <alignment horizontal="center" vertical="center"/>
      <protection/>
    </xf>
    <xf numFmtId="217" fontId="13" fillId="0" borderId="42" xfId="0" applyNumberFormat="1" applyFont="1" applyBorder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ckbearing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.28515625" style="1" customWidth="1"/>
    <col min="2" max="2" width="22.140625" style="1" customWidth="1"/>
    <col min="3" max="3" width="14.7109375" style="1" customWidth="1"/>
    <col min="4" max="4" width="16.7109375" style="1" customWidth="1"/>
    <col min="5" max="5" width="14.421875" style="1" customWidth="1"/>
    <col min="6" max="6" width="12.140625" style="1" customWidth="1"/>
    <col min="7" max="7" width="13.421875" style="1" customWidth="1"/>
    <col min="8" max="8" width="22.7109375" style="1" customWidth="1"/>
    <col min="9" max="9" width="11.7109375" style="1" customWidth="1"/>
    <col min="10" max="10" width="12.140625" style="1" customWidth="1"/>
    <col min="11" max="16384" width="9.140625" style="1" customWidth="1"/>
  </cols>
  <sheetData>
    <row r="1" spans="2:9" ht="15.75" customHeight="1" thickBot="1">
      <c r="B1" s="88" t="s">
        <v>2</v>
      </c>
      <c r="C1" s="89"/>
      <c r="D1" s="92" t="s">
        <v>6</v>
      </c>
      <c r="E1" s="93"/>
      <c r="F1" s="88" t="s">
        <v>11</v>
      </c>
      <c r="G1" s="89"/>
      <c r="H1" s="88" t="s">
        <v>19</v>
      </c>
      <c r="I1" s="89"/>
    </row>
    <row r="2" spans="2:9" ht="14.25" customHeight="1">
      <c r="B2" s="2" t="s">
        <v>39</v>
      </c>
      <c r="C2" s="4">
        <f>(367*YEAR(Input!B1)-INT(7*(YEAR(Input!B1)+INT((MONTH(Input!B1)+9)/12))/4)+INT(275*MONTH(Input!B1)/9)+DAY(Input!B1)+(Input!B2+(Input!B3+Input!B4/60)/60)/24-730531.5)/36525</f>
        <v>0.23969940679899718</v>
      </c>
      <c r="D2" s="19" t="s">
        <v>12</v>
      </c>
      <c r="E2" s="50">
        <f>COS(RADIANS(C13))</f>
        <v>-0.011081261914614908</v>
      </c>
      <c r="F2" s="2" t="s">
        <v>7</v>
      </c>
      <c r="G2" s="56" t="str">
        <f>IF(LEN(Input!B7)=2,IF(RIGHT(Input!B7,1)="N",LEFT(Input!B7,1),IF(RIGHT(Input!B7,1)="S",-LEFT(Input!B7,1),0)),IF(LEN(Input!B7)=3,IF(RIGHT(Input!B7,1)="N",LEFT(Input!B7,2),IF(RIGHT(Input!B7,1)="S",-LEFT(Input!B7,2),0)),IF(LEN(Input!B7)=4,IF(RIGHT(Input!B7,1)="N",LEFT(Input!B7,3),IF(RIGHT(Input!B7,1)="S",-LEFT(Input!B7,3),0)),IF(LEN(Input!B7)=5,IF(RIGHT(Input!B7,1)="N",LEFT(Input!B7,4),IF(RIGHT(Input!B7,1)="S",-LEFT(Input!B7,4),0))))))</f>
        <v>57.8</v>
      </c>
      <c r="H2" s="17" t="s">
        <v>40</v>
      </c>
      <c r="I2" s="4">
        <f>Input!B11+(Input!B12/60)</f>
        <v>8.6</v>
      </c>
    </row>
    <row r="3" spans="2:9" ht="15.75" customHeight="1" thickBot="1">
      <c r="B3" s="5" t="s">
        <v>38</v>
      </c>
      <c r="C3" s="48">
        <f>C2+(63+60*C2)/3200000000</f>
        <v>0.23969943098086105</v>
      </c>
      <c r="D3" s="19" t="s">
        <v>3</v>
      </c>
      <c r="E3" s="50">
        <f>DEGREES(ATAN(TAN(RADIANS(C13))*COS(RADIANS(C11))))</f>
        <v>89.3079828126114</v>
      </c>
      <c r="F3" s="2" t="s">
        <v>8</v>
      </c>
      <c r="G3" s="4">
        <f>IF(LEN(Input!B8)=2,IF(RIGHT(Input!B8,1)="W",-LEFT(Input!B8,1)-G4,IF(RIGHT(Input!B8,1)="E",LEFT(Input!B8,1)+G4)),IF(LEN(Input!B8)=3,IF(RIGHT(Input!B8,1)="W",-LEFT(Input!B8,2)-G4,IF(RIGHT(Input!B8,1)="E",LEFT(Input!B8,2)+G4)),IF(LEN(Input!B8)=4,IF(RIGHT(Input!B8,1)="W",-LEFT(Input!B8,3)-G4,IF(RIGHT(Input!B8,1)="E",LEFT(Input!B8,3)+G4)),IF(LEN(Input!B8)=5,IF(RIGHT(Input!B8,1)="W",-LEFT(Input!B8,4)-G4,IF(RIGHT(Input!B8,1)="E",LEFT(Input!B8,4)+G4)),IF(LEN(Input!B8)=6,IF(RIGHT(Input!B8,1)="W",-LEFT(Input!B8,5)-G4,IF(RIGHT(Input!B8,1)="E",LEFT(Input!B8,5)+G4)))))))</f>
        <v>-4.514286614702195</v>
      </c>
      <c r="H3" s="2" t="s">
        <v>41</v>
      </c>
      <c r="I3" s="4">
        <f>Input!B13/60</f>
        <v>-0.0006666666666666666</v>
      </c>
    </row>
    <row r="4" spans="2:9" ht="18" customHeight="1">
      <c r="B4" s="90" t="s">
        <v>29</v>
      </c>
      <c r="C4" s="91"/>
      <c r="D4" s="19" t="s">
        <v>21</v>
      </c>
      <c r="E4" s="50">
        <f>IF(E2&lt;0,E3+180,E3)</f>
        <v>269.3079828126114</v>
      </c>
      <c r="F4" s="15" t="s">
        <v>86</v>
      </c>
      <c r="G4" s="55">
        <f>IF(RIGHT(Input!B8,1)="W",E12-INT(E12),IF(RIGHT(Input!B8,1)="E",ROUNDUP(E12,0)-E12))</f>
        <v>0.014286614702195166</v>
      </c>
      <c r="H4" s="2" t="s">
        <v>42</v>
      </c>
      <c r="I4" s="4">
        <f>-(1.76*SQRT(Input!B15)/60)</f>
        <v>-0.04148359782961079</v>
      </c>
    </row>
    <row r="5" spans="2:9" ht="17.25" customHeight="1">
      <c r="B5" s="11" t="s">
        <v>34</v>
      </c>
      <c r="C5" s="4">
        <f>MOD(50+(58517*C3),360)</f>
        <v>36.491602707046695</v>
      </c>
      <c r="D5" s="19" t="s">
        <v>28</v>
      </c>
      <c r="E5" s="50">
        <f>SIN(RADIANS(C13))*SIN(RADIANS(C11))</f>
        <v>-0.3977384234505427</v>
      </c>
      <c r="F5" s="2" t="s">
        <v>18</v>
      </c>
      <c r="G5" s="4">
        <f>ASIN((SIN(RADIANS(G2))*SIN(RADIANS(E6)))+(COS(RADIANS(G2))*COS(RADIANS(E6))*COS(RADIANS(G10))))</f>
        <v>0.15202280314569755</v>
      </c>
      <c r="H5" s="17" t="s">
        <v>43</v>
      </c>
      <c r="I5" s="4">
        <f>IF(Input!B15=0,(I2+I3)/2,I2+I3+I4)</f>
        <v>8.557849735503721</v>
      </c>
    </row>
    <row r="6" spans="2:9" ht="16.5" customHeight="1">
      <c r="B6" s="11" t="s">
        <v>31</v>
      </c>
      <c r="C6" s="4">
        <f>MOD(357.52558+(35999.04974*C3),360)</f>
        <v>346.47731852971447</v>
      </c>
      <c r="D6" s="23" t="s">
        <v>17</v>
      </c>
      <c r="E6" s="51">
        <f>DEGREES(ATAN(E5/SQRT(1-POWER(E5,2))))</f>
        <v>-23.436872330955694</v>
      </c>
      <c r="F6" s="2" t="s">
        <v>10</v>
      </c>
      <c r="G6" s="4">
        <f>DEGREES(G5)</f>
        <v>8.710265009996604</v>
      </c>
      <c r="H6" s="17" t="s">
        <v>79</v>
      </c>
      <c r="I6" s="4">
        <f>-0.0167/(TAN(RADIANS(I5+7.31/(I5+4.4))))</f>
        <v>-0.1040060025277228</v>
      </c>
    </row>
    <row r="7" spans="2:9" ht="18" customHeight="1">
      <c r="B7" s="11" t="s">
        <v>35</v>
      </c>
      <c r="C7" s="4">
        <f>MOD(20+(19140*C3),360)</f>
        <v>287.8471089736804</v>
      </c>
      <c r="D7" s="19" t="s">
        <v>74</v>
      </c>
      <c r="E7" s="50">
        <f>0.0000009*SIN(RADIANS(C10))</f>
        <v>5.2382674395396505E-09</v>
      </c>
      <c r="F7" s="2" t="s">
        <v>16</v>
      </c>
      <c r="G7" s="4">
        <f>(SIN(RADIANS(E6))-SIN(RADIANS(G2))*SIN(RADIANS(G6)))/COS(RADIANS(G2))/COS(RADIANS(G6))</f>
        <v>-0.9983932196138027</v>
      </c>
      <c r="H7" s="2" t="s">
        <v>78</v>
      </c>
      <c r="I7" s="4">
        <f>(Input!B17/1010)*283/(273+Input!B16)</f>
        <v>0.9792487496172299</v>
      </c>
    </row>
    <row r="8" spans="2:9" ht="14.25" customHeight="1">
      <c r="B8" s="11" t="s">
        <v>36</v>
      </c>
      <c r="C8" s="4">
        <f>MOD(19.9+(3034.6*C3),360)</f>
        <v>27.291893254520915</v>
      </c>
      <c r="D8" s="19" t="s">
        <v>13</v>
      </c>
      <c r="E8" s="50">
        <f>0.0000122*SIN(RADIANS(C9))</f>
        <v>4.450967543967916E-06</v>
      </c>
      <c r="F8" s="2" t="s">
        <v>9</v>
      </c>
      <c r="G8" s="4">
        <f>DEGREES(ATAN(SQRT(1-POWER(G7,2))/G7))</f>
        <v>-3.2484340907405254</v>
      </c>
      <c r="H8" s="17" t="s">
        <v>80</v>
      </c>
      <c r="I8" s="4">
        <f>I6*I7</f>
        <v>-0.10184774792795899</v>
      </c>
    </row>
    <row r="9" spans="2:9" ht="24.75" customHeight="1">
      <c r="B9" s="12" t="s">
        <v>37</v>
      </c>
      <c r="C9" s="4">
        <f>MOD(125-(1934.1*C3),360)</f>
        <v>21.397330539916652</v>
      </c>
      <c r="D9" s="19" t="s">
        <v>72</v>
      </c>
      <c r="E9" s="50">
        <f>0.7790573+36625.002139*C2+(0.0000011*POWER(C2,2))-E8-E7-INT(0.7790573+36625.002139*C2+(0.0000011*POWER(C2,2))-E8-E7)</f>
        <v>0.7703396372980933</v>
      </c>
      <c r="F9" s="2" t="s">
        <v>20</v>
      </c>
      <c r="G9" s="4">
        <f>IF(AND(G7&gt;0,SIN(RADIANS(E12+G3))&gt;=0),360-G8,IF(AND(G7&lt;=0,SIN(RADIANS(E12+G3))&lt;0),180+G8,IF(AND(G7&lt;0,SIN(RADIANS(E12+G3))&gt;0),180-G8,G8)))</f>
        <v>183.24843409074052</v>
      </c>
      <c r="H9" s="17" t="s">
        <v>81</v>
      </c>
      <c r="I9" s="4">
        <f>0.0024*COS(RADIANS(I5))</f>
        <v>0.002373278689886095</v>
      </c>
    </row>
    <row r="10" spans="2:9" ht="17.25" customHeight="1">
      <c r="B10" s="11" t="s">
        <v>32</v>
      </c>
      <c r="C10" s="4">
        <f>MOD(200.9+(72001.7*C3),360)</f>
        <v>179.66651965466372</v>
      </c>
      <c r="D10" s="19" t="s">
        <v>14</v>
      </c>
      <c r="E10" s="50">
        <f>360*E9</f>
        <v>277.3222694273136</v>
      </c>
      <c r="F10" s="2" t="s">
        <v>22</v>
      </c>
      <c r="G10" s="4">
        <f>E12+G3</f>
        <v>3.5</v>
      </c>
      <c r="H10" s="2" t="s">
        <v>0</v>
      </c>
      <c r="I10" s="4">
        <f>Input!B14*ASIN(0.004659/(1-0.0167*COS(RADIANS(C6))))</f>
        <v>0.004735914618488715</v>
      </c>
    </row>
    <row r="11" spans="2:9" ht="15" customHeight="1" thickBot="1">
      <c r="B11" s="13" t="s">
        <v>33</v>
      </c>
      <c r="C11" s="48">
        <f>MOD(23.43929-(0.013*C3)+0.00256*COS(RADIANS(C9))+0.00016*COS(RADIANS(C10)),360)</f>
        <v>23.43839745651317</v>
      </c>
      <c r="D11" s="19" t="s">
        <v>73</v>
      </c>
      <c r="E11" s="50">
        <f>1+(E10-E4)/360-INT(1+(E10-E4)/360)</f>
        <v>0.022261907263061653</v>
      </c>
      <c r="F11" s="2" t="s">
        <v>23</v>
      </c>
      <c r="G11" s="4">
        <f>(G10-(INT(G10/360)*360))</f>
        <v>3.5</v>
      </c>
      <c r="H11" s="2" t="s">
        <v>44</v>
      </c>
      <c r="I11" s="14">
        <f>DEGREES(ATAN(I10/SQRT(1-POWER(I10,2))))</f>
        <v>0.2713489341226014</v>
      </c>
    </row>
    <row r="12" spans="2:9" ht="17.25" customHeight="1" thickBot="1">
      <c r="B12" s="90" t="s">
        <v>30</v>
      </c>
      <c r="C12" s="91"/>
      <c r="D12" s="24" t="s">
        <v>15</v>
      </c>
      <c r="E12" s="52">
        <f>360*E11</f>
        <v>8.014286614702195</v>
      </c>
      <c r="F12" s="83"/>
      <c r="G12" s="84" t="str">
        <f>IF(SIGN(E6)=SIGN(G2),"SAME","CONTRARY")</f>
        <v>CONTRARY</v>
      </c>
      <c r="H12" s="28" t="s">
        <v>82</v>
      </c>
      <c r="I12" s="4">
        <f>I5+I8+I9+I11</f>
        <v>8.72972420038825</v>
      </c>
    </row>
    <row r="13" spans="2:9" ht="13.5" thickBot="1">
      <c r="B13" s="16" t="s">
        <v>1</v>
      </c>
      <c r="C13" s="49">
        <f>MOD(C6+(10185851+61912*C3+11*POWER(C3,2)+68928*SIN(RADIANS(C6-0.0018))+720*SIN(RADIANS(2*C6))-174*C3*SIN(RADIANS(C6))+72*SIN(RADIANS(C6-C8-90.5))+65*SIN(RADIANS(445267.1*C3-62.1))-64*SIN(RADIANS(20.2*C3+71.4))+55*SIN(RADIANS(2*C6-2*C5-58))-48*SIN(RADIANS(C6-C5-29))-27*SIN(RADIANS(2*C6-2*C8-3))-26*SIN(RADIANS(C8+7))-25*SIN(RADIANS(3*C6-2*C5-46))+20*SIN(RADIANS(2*C6-2*C7+74))-19*SIN(RADIANS(150*C3+28))+18*SIN(RADIANS(C6-2*C7-70))-16*SIN(RADIANS(C6-2*C8+20))-16*SIN(RADIANS(4*C6-3*C5-75))+10*SIN(RADIANS(3*C6))-10*SIN(RADIANS(5*C6-3*C5-48))-205-172*SIN(RADIANS(C9))-13*SIN(RADIANS(C10)))/36000,360)</f>
        <v>269.3650774660098</v>
      </c>
      <c r="G13" s="30"/>
      <c r="H13" s="28" t="s">
        <v>45</v>
      </c>
      <c r="I13" s="4">
        <f>I12-G6</f>
        <v>0.01945919039164501</v>
      </c>
    </row>
    <row r="14" spans="2:9" ht="13.5" thickTop="1">
      <c r="B14" s="21"/>
      <c r="C14" s="42"/>
      <c r="D14" s="41" t="s">
        <v>5</v>
      </c>
      <c r="E14" s="42" t="str">
        <f>CONCATENATE(INT(E12),"° ",FIXED((E12-INT(E12))*60,2),"' ")</f>
        <v>8° 0.86' </v>
      </c>
      <c r="F14" s="55"/>
      <c r="G14" s="30"/>
      <c r="H14" s="28" t="s">
        <v>90</v>
      </c>
      <c r="I14" s="3">
        <f>ABS(FIXED(I13*60,1))</f>
        <v>1.2</v>
      </c>
    </row>
    <row r="15" spans="2:9" ht="24.75" customHeight="1" thickBot="1">
      <c r="B15" s="53"/>
      <c r="C15" s="53"/>
      <c r="D15" s="43" t="s">
        <v>4</v>
      </c>
      <c r="E15" s="44" t="str">
        <f>CONCATENATE(TRUNC(ABS(E6),0),"° ",ABS(FIXED((E6-TRUNC(E6,0))*60,1)),"' ",IF(E5&lt;0,"South","North"))</f>
        <v>23° 26.2' South</v>
      </c>
      <c r="G15" s="31"/>
      <c r="H15" s="29" t="s">
        <v>27</v>
      </c>
      <c r="I15" s="6" t="str">
        <f>IF(I13&lt;0,"Away","Towards")</f>
        <v>Towards</v>
      </c>
    </row>
    <row r="16" spans="2:9" ht="24.75" customHeight="1">
      <c r="B16" s="54"/>
      <c r="C16" s="15"/>
      <c r="D16" s="43" t="s">
        <v>25</v>
      </c>
      <c r="E16" s="44" t="str">
        <f>IF(G11-INT(G11)=0,CONCATENATE(INT(G11),"° ","00.00","' "),CONCATENATE(INT(G11),"° ",FIXED((G11-INT(G11))*60,2),"' "))</f>
        <v>3° 30.00' </v>
      </c>
      <c r="H16" s="15"/>
      <c r="I16" s="15"/>
    </row>
    <row r="17" spans="2:8" ht="12.75">
      <c r="B17" s="15"/>
      <c r="C17" s="15"/>
      <c r="D17" s="43" t="s">
        <v>26</v>
      </c>
      <c r="E17" s="44" t="str">
        <f>CONCATENATE(IF(G6&lt;0,-ABS(INT(G6))+1,INT(G6)),"° ",IF(G6&gt;0,FIXED((G6-INT(G6))*60,2),FIXED(ABS(G6-IF(G6&lt;0,-ABS(INT(G6))+1,INT(G6)))*60,2)),"'")</f>
        <v>8° 42.62'</v>
      </c>
      <c r="H17" s="18"/>
    </row>
    <row r="18" spans="2:5" ht="18" customHeight="1" thickBot="1">
      <c r="B18" s="15"/>
      <c r="C18" s="15"/>
      <c r="D18" s="45" t="s">
        <v>69</v>
      </c>
      <c r="E18" s="46" t="str">
        <f>CONCATENATE(IF(I12&lt;0,-ABS(INT(I12))+1,INT(I12)),"° ",IF(I12&gt;0,FIXED((I12-INT(I12))*60,2),FIXED(ABS(I12-IF(I12&lt;0,-ABS(INT(I12))+1,INT(I12)))*60,2)),"'")</f>
        <v>8° 43.78'</v>
      </c>
    </row>
    <row r="19" spans="2:10" ht="17.25" customHeight="1" thickTop="1">
      <c r="B19" s="15"/>
      <c r="C19" s="10"/>
      <c r="F19" s="25"/>
      <c r="G19" s="15"/>
      <c r="H19" s="18"/>
      <c r="J19" s="8"/>
    </row>
    <row r="20" spans="2:6" ht="15.75" customHeight="1">
      <c r="B20" s="9"/>
      <c r="C20" s="10"/>
      <c r="F20" s="25"/>
    </row>
    <row r="21" spans="2:7" ht="17.25" customHeight="1">
      <c r="B21" s="9"/>
      <c r="C21" s="10"/>
      <c r="F21" s="25"/>
      <c r="G21" s="15"/>
    </row>
    <row r="22" spans="2:6" ht="17.25" customHeight="1">
      <c r="B22" s="9"/>
      <c r="C22" s="10"/>
      <c r="F22" s="26"/>
    </row>
    <row r="23" spans="2:7" ht="18" customHeight="1">
      <c r="B23" s="9"/>
      <c r="C23" s="10"/>
      <c r="F23" s="22"/>
      <c r="G23" s="26"/>
    </row>
    <row r="24" spans="2:12" ht="18" customHeight="1">
      <c r="B24" s="9"/>
      <c r="C24" s="10"/>
      <c r="D24" s="15"/>
      <c r="E24" s="22"/>
      <c r="F24" s="26"/>
      <c r="J24" s="15"/>
      <c r="K24" s="15"/>
      <c r="L24" s="15"/>
    </row>
    <row r="25" spans="2:6" ht="18" customHeight="1">
      <c r="B25" s="9"/>
      <c r="C25" s="10"/>
      <c r="D25" s="20"/>
      <c r="E25" s="15"/>
      <c r="F25" s="26"/>
    </row>
    <row r="26" spans="2:10" ht="18" customHeight="1">
      <c r="B26" s="9"/>
      <c r="C26" s="10"/>
      <c r="E26" s="15"/>
      <c r="F26" s="22"/>
      <c r="J26" s="15"/>
    </row>
    <row r="27" spans="5:6" ht="18" customHeight="1">
      <c r="E27" s="15"/>
      <c r="F27" s="22"/>
    </row>
    <row r="28" spans="5:6" ht="18" customHeight="1">
      <c r="E28" s="15"/>
      <c r="F28" s="26"/>
    </row>
    <row r="29" spans="4:6" ht="18" customHeight="1">
      <c r="D29" s="9"/>
      <c r="E29" s="10"/>
      <c r="F29" s="26"/>
    </row>
    <row r="30" spans="4:6" ht="12.75">
      <c r="D30" s="9"/>
      <c r="E30" s="10"/>
      <c r="F30" s="22"/>
    </row>
    <row r="31" spans="4:7" ht="12.75">
      <c r="D31" s="9"/>
      <c r="E31" s="10"/>
      <c r="F31" s="22"/>
      <c r="G31" s="15"/>
    </row>
    <row r="32" spans="4:6" ht="12.75">
      <c r="D32" s="9"/>
      <c r="E32" s="10"/>
      <c r="F32" s="26"/>
    </row>
    <row r="33" spans="4:6" ht="12.75">
      <c r="D33" s="9"/>
      <c r="E33" s="10"/>
      <c r="F33" s="26"/>
    </row>
    <row r="34" spans="4:6" ht="12.75">
      <c r="D34" s="9"/>
      <c r="E34" s="10"/>
      <c r="F34" s="22"/>
    </row>
    <row r="35" spans="4:7" ht="12.75">
      <c r="D35" s="9"/>
      <c r="E35" s="10"/>
      <c r="F35" s="22"/>
      <c r="G35" s="15"/>
    </row>
    <row r="36" spans="4:5" ht="12.75">
      <c r="D36" s="9"/>
      <c r="E36" s="10"/>
    </row>
    <row r="37" spans="4:5" ht="12.75">
      <c r="D37" s="9"/>
      <c r="E37" s="10"/>
    </row>
    <row r="38" spans="4:5" ht="12.75">
      <c r="D38" s="9"/>
      <c r="E38" s="10"/>
    </row>
    <row r="39" spans="4:5" ht="12.75">
      <c r="D39" s="9"/>
      <c r="E39" s="10"/>
    </row>
    <row r="40" spans="4:5" ht="12.75">
      <c r="D40" s="9"/>
      <c r="E40" s="10"/>
    </row>
    <row r="41" spans="4:5" ht="12.75">
      <c r="D41" s="9"/>
      <c r="E41" s="10"/>
    </row>
    <row r="42" spans="4:5" ht="12.75">
      <c r="D42" s="9"/>
      <c r="E42" s="10"/>
    </row>
  </sheetData>
  <sheetProtection password="CF2C" sheet="1" formatColumns="0" formatRows="0"/>
  <mergeCells count="6">
    <mergeCell ref="H1:I1"/>
    <mergeCell ref="B4:C4"/>
    <mergeCell ref="B12:C12"/>
    <mergeCell ref="B1:C1"/>
    <mergeCell ref="D1:E1"/>
    <mergeCell ref="F1:G1"/>
  </mergeCells>
  <conditionalFormatting sqref="G15">
    <cfRule type="expression" priority="2" dxfId="4" stopIfTrue="1">
      <formula>$G$6&lt;0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13" sqref="B13"/>
    </sheetView>
  </sheetViews>
  <sheetFormatPr defaultColWidth="9.140625" defaultRowHeight="16.5" customHeight="1"/>
  <cols>
    <col min="1" max="1" width="24.57421875" style="34" customWidth="1"/>
    <col min="2" max="2" width="22.140625" style="32" customWidth="1"/>
    <col min="3" max="3" width="28.00390625" style="32" customWidth="1"/>
    <col min="4" max="16384" width="9.140625" style="1" customWidth="1"/>
  </cols>
  <sheetData>
    <row r="1" spans="1:3" ht="16.5" customHeight="1" thickBot="1">
      <c r="A1" s="85">
        <f>B1</f>
        <v>45281</v>
      </c>
      <c r="B1" s="86">
        <v>45281</v>
      </c>
      <c r="C1" s="57" t="s">
        <v>75</v>
      </c>
    </row>
    <row r="2" spans="1:3" ht="16.5" customHeight="1" thickBot="1">
      <c r="A2" s="58" t="s">
        <v>51</v>
      </c>
      <c r="B2" s="59">
        <v>12</v>
      </c>
      <c r="C2" s="60" t="s">
        <v>50</v>
      </c>
    </row>
    <row r="3" spans="1:3" ht="16.5" customHeight="1" thickBot="1">
      <c r="A3" s="58" t="s">
        <v>46</v>
      </c>
      <c r="B3" s="61">
        <v>30</v>
      </c>
      <c r="C3" s="60"/>
    </row>
    <row r="4" spans="1:3" ht="16.5" customHeight="1">
      <c r="A4" s="58" t="s">
        <v>47</v>
      </c>
      <c r="B4" s="62">
        <v>0</v>
      </c>
      <c r="C4" s="63"/>
    </row>
    <row r="5" spans="1:3" ht="16.5" customHeight="1">
      <c r="A5" s="64" t="s">
        <v>57</v>
      </c>
      <c r="B5" s="65" t="str">
        <f>Calcs!E14</f>
        <v>8° 0.86' </v>
      </c>
      <c r="C5" s="66"/>
    </row>
    <row r="6" spans="1:3" ht="16.5" customHeight="1">
      <c r="A6" s="64" t="s">
        <v>58</v>
      </c>
      <c r="B6" s="65" t="str">
        <f>Calcs!E15</f>
        <v>23° 26.2' South</v>
      </c>
      <c r="C6" s="66" t="str">
        <f>Calcs!G12</f>
        <v>CONTRARY</v>
      </c>
    </row>
    <row r="7" spans="1:3" ht="16.5" customHeight="1" thickBot="1">
      <c r="A7" s="67" t="s">
        <v>62</v>
      </c>
      <c r="B7" s="68" t="s">
        <v>91</v>
      </c>
      <c r="C7" s="60" t="s">
        <v>85</v>
      </c>
    </row>
    <row r="8" spans="1:3" ht="16.5" customHeight="1">
      <c r="A8" s="67" t="s">
        <v>63</v>
      </c>
      <c r="B8" s="69" t="s">
        <v>92</v>
      </c>
      <c r="C8" s="60" t="s">
        <v>84</v>
      </c>
    </row>
    <row r="9" spans="1:3" ht="16.5" customHeight="1">
      <c r="A9" s="70" t="s">
        <v>67</v>
      </c>
      <c r="B9" s="82">
        <f>Calcs!G4*60</f>
        <v>0.85719688213171</v>
      </c>
      <c r="C9" s="71" t="s">
        <v>87</v>
      </c>
    </row>
    <row r="10" spans="1:3" ht="16.5" customHeight="1">
      <c r="A10" s="72" t="s">
        <v>56</v>
      </c>
      <c r="B10" s="73" t="str">
        <f>Calcs!E16</f>
        <v>3° 30.00' </v>
      </c>
      <c r="C10" s="74"/>
    </row>
    <row r="11" spans="1:3" ht="16.5" customHeight="1" thickBot="1">
      <c r="A11" s="67" t="s">
        <v>64</v>
      </c>
      <c r="B11" s="75">
        <v>8</v>
      </c>
      <c r="C11" s="60" t="s">
        <v>59</v>
      </c>
    </row>
    <row r="12" spans="1:3" ht="16.5" customHeight="1" thickBot="1">
      <c r="A12" s="67" t="s">
        <v>65</v>
      </c>
      <c r="B12" s="76">
        <v>36</v>
      </c>
      <c r="C12" s="60" t="s">
        <v>68</v>
      </c>
    </row>
    <row r="13" spans="1:3" ht="16.5" customHeight="1" thickBot="1">
      <c r="A13" s="67" t="s">
        <v>66</v>
      </c>
      <c r="B13" s="76">
        <v>-0.04</v>
      </c>
      <c r="C13" s="77" t="s">
        <v>88</v>
      </c>
    </row>
    <row r="14" spans="1:3" ht="16.5" customHeight="1" thickBot="1">
      <c r="A14" s="67" t="s">
        <v>60</v>
      </c>
      <c r="B14" s="78">
        <v>1</v>
      </c>
      <c r="C14" s="60" t="s">
        <v>76</v>
      </c>
    </row>
    <row r="15" spans="1:3" ht="16.5" customHeight="1" thickBot="1">
      <c r="A15" s="58" t="s">
        <v>89</v>
      </c>
      <c r="B15" s="76">
        <v>2</v>
      </c>
      <c r="C15" s="60" t="s">
        <v>77</v>
      </c>
    </row>
    <row r="16" spans="1:3" ht="16.5" customHeight="1" thickBot="1">
      <c r="A16" s="58" t="s">
        <v>52</v>
      </c>
      <c r="B16" s="61">
        <v>18</v>
      </c>
      <c r="C16" s="60" t="s">
        <v>48</v>
      </c>
    </row>
    <row r="17" spans="1:3" ht="16.5" customHeight="1">
      <c r="A17" s="58" t="s">
        <v>53</v>
      </c>
      <c r="B17" s="62">
        <v>1017</v>
      </c>
      <c r="C17" s="60" t="s">
        <v>49</v>
      </c>
    </row>
    <row r="18" spans="1:3" ht="16.5" customHeight="1">
      <c r="A18" s="64" t="s">
        <v>83</v>
      </c>
      <c r="B18" s="79" t="str">
        <f>Calcs!E17</f>
        <v>8° 42.62'</v>
      </c>
      <c r="C18" s="66"/>
    </row>
    <row r="19" spans="1:3" ht="16.5" customHeight="1">
      <c r="A19" s="64" t="s">
        <v>70</v>
      </c>
      <c r="B19" s="80" t="str">
        <f>Calcs!E18</f>
        <v>8° 43.78'</v>
      </c>
      <c r="C19" s="66" t="str">
        <f>IF(Calcs!G6&gt;Calcs!I12,"Hc &gt; Ho = Away",IF(Calcs!G6&lt;Calcs!I12,"Hc &lt; Ho = Towards","Hc=Ho . . . Unlikely"))</f>
        <v>Hc &lt; Ho = Towards</v>
      </c>
    </row>
    <row r="20" spans="1:5" ht="17.25" customHeight="1">
      <c r="A20" s="38" t="s">
        <v>55</v>
      </c>
      <c r="B20" s="39" t="str">
        <f>CONCATENATE(FIXED(Calcs!G9,1),"° ")</f>
        <v>183.2° </v>
      </c>
      <c r="C20" s="40" t="s">
        <v>54</v>
      </c>
      <c r="D20" s="27"/>
      <c r="E20" s="33"/>
    </row>
    <row r="21" spans="1:5" ht="17.25" customHeight="1" thickBot="1">
      <c r="A21" s="35" t="s">
        <v>24</v>
      </c>
      <c r="B21" s="36" t="str">
        <f>CONCATENATE(Calcs!I14," Miles ")</f>
        <v>1.2 Miles </v>
      </c>
      <c r="C21" s="37" t="str">
        <f>Calcs!I15</f>
        <v>Towards</v>
      </c>
      <c r="D21" s="7"/>
      <c r="E21" s="7"/>
    </row>
    <row r="22" spans="1:2" ht="16.5" customHeight="1">
      <c r="A22" s="47" t="s">
        <v>71</v>
      </c>
      <c r="B22" s="87" t="s">
        <v>61</v>
      </c>
    </row>
    <row r="23" ht="16.5" customHeight="1">
      <c r="F23" s="81"/>
    </row>
  </sheetData>
  <sheetProtection password="CF2C" sheet="1" formatColumns="0" formatRows="0" selectLockedCells="1"/>
  <conditionalFormatting sqref="B8">
    <cfRule type="containsText" priority="3" dxfId="0" operator="containsText" stopIfTrue="1" text="W">
      <formula>NOT(ISERROR(SEARCH("W",B8)))</formula>
    </cfRule>
    <cfRule type="containsText" priority="4" dxfId="0" operator="containsText" stopIfTrue="1" text="E">
      <formula>NOT(ISERROR(SEARCH("E",B8)))</formula>
    </cfRule>
  </conditionalFormatting>
  <conditionalFormatting sqref="B7">
    <cfRule type="containsText" priority="1" dxfId="0" operator="containsText" stopIfTrue="1" text="S">
      <formula>NOT(ISERROR(SEARCH("S",B7)))</formula>
    </cfRule>
    <cfRule type="containsText" priority="2" dxfId="0" operator="containsText" stopIfTrue="1" text="N">
      <formula>NOT(ISERROR(SEARCH("N",B7)))</formula>
    </cfRule>
  </conditionalFormatting>
  <hyperlinks>
    <hyperlink ref="B22" r:id="rId1" display="www.backbearing.com"/>
  </hyperlinks>
  <printOptions/>
  <pageMargins left="0.7" right="0.7" top="0.75" bottom="0.75" header="0.3" footer="0.3"/>
  <pageSetup horizontalDpi="600" verticalDpi="600" orientation="portrait" paperSize="9" r:id="rId4"/>
  <ignoredErrors>
    <ignoredError sqref="B9" unlocked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Smith</dc:creator>
  <cp:keywords>Unclassified::</cp:keywords>
  <dc:description/>
  <cp:lastModifiedBy>Andrew Smith</cp:lastModifiedBy>
  <cp:lastPrinted>2005-04-22T12:13:36Z</cp:lastPrinted>
  <dcterms:created xsi:type="dcterms:W3CDTF">2003-08-15T16:21:15Z</dcterms:created>
  <dcterms:modified xsi:type="dcterms:W3CDTF">2023-12-19T16:09:42Z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5c1c085a-2461-41b0-bee2-5d0ae21d6768</vt:lpwstr>
  </property>
  <property fmtid="{D5CDD505-2E9C-101B-9397-08002B2CF9AE}" pid="3" name="bjDocumentLabelXML">
    <vt:lpwstr>&lt;?xml version="1.0"?&gt;&lt;sisl xmlns:xsi="http://www.w3.org/2001/XMLSchema-instance" xmlns:xsd="http://www.w3.org/2001/XMLSchema" sislVersion="0" policy="b5b2165e-8acf-48b8-a935-01f1f90977f0" xmlns="http://www.boldonjames.com/2008/01/sie/internal/label"&gt;  &lt;el</vt:lpwstr>
  </property>
  <property fmtid="{D5CDD505-2E9C-101B-9397-08002B2CF9AE}" pid="4" name="bjDocumentLabelXML-0">
    <vt:lpwstr>ement uid="id_classification_businessvalue" value="" /&gt;&lt;/sisl&gt;</vt:lpwstr>
  </property>
  <property fmtid="{D5CDD505-2E9C-101B-9397-08002B2CF9AE}" pid="5" name="bjDocumentSecurityLabel">
    <vt:lpwstr>Unclassified</vt:lpwstr>
  </property>
</Properties>
</file>